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2013" sheetId="1" r:id="rId1"/>
    <sheet name="Sheet2" sheetId="2" r:id="rId2"/>
    <sheet name="Sheet3" sheetId="3" r:id="rId3"/>
  </sheets>
  <definedNames>
    <definedName name="_xlnm.Print_Area" localSheetId="0">'2013'!$A$1:$AD$16</definedName>
  </definedNames>
  <calcPr calcId="145621"/>
</workbook>
</file>

<file path=xl/calcChain.xml><?xml version="1.0" encoding="utf-8"?>
<calcChain xmlns="http://schemas.openxmlformats.org/spreadsheetml/2006/main">
  <c r="C28" i="1" l="1"/>
  <c r="C26" i="1"/>
  <c r="C25" i="1"/>
  <c r="C29" i="1" l="1"/>
  <c r="C30" i="1" l="1"/>
  <c r="C32" i="1"/>
  <c r="C34" i="1" s="1"/>
  <c r="P7" i="1" l="1"/>
  <c r="P11" i="1"/>
  <c r="P6" i="1"/>
  <c r="U6" i="1" s="1"/>
  <c r="O10" i="1"/>
  <c r="O14" i="1"/>
  <c r="N9" i="1"/>
  <c r="N13" i="1"/>
  <c r="M8" i="1"/>
  <c r="M12" i="1"/>
  <c r="C36" i="1"/>
  <c r="P8" i="1"/>
  <c r="P12" i="1"/>
  <c r="O7" i="1"/>
  <c r="O11" i="1"/>
  <c r="O6" i="1"/>
  <c r="N10" i="1"/>
  <c r="T10" i="1" s="1"/>
  <c r="N14" i="1"/>
  <c r="M9" i="1"/>
  <c r="M13" i="1"/>
  <c r="P9" i="1"/>
  <c r="U9" i="1" s="1"/>
  <c r="P13" i="1"/>
  <c r="O8" i="1"/>
  <c r="O12" i="1"/>
  <c r="N7" i="1"/>
  <c r="T7" i="1" s="1"/>
  <c r="N11" i="1"/>
  <c r="N6" i="1"/>
  <c r="M14" i="1"/>
  <c r="P10" i="1"/>
  <c r="U10" i="1" s="1"/>
  <c r="P14" i="1"/>
  <c r="O9" i="1"/>
  <c r="O13" i="1"/>
  <c r="N12" i="1"/>
  <c r="T12" i="1" s="1"/>
  <c r="M7" i="1"/>
  <c r="S7" i="1" s="1"/>
  <c r="M11" i="1"/>
  <c r="M10" i="1"/>
  <c r="N8" i="1"/>
  <c r="T8" i="1" s="1"/>
  <c r="M6" i="1"/>
  <c r="S6" i="1" s="1"/>
  <c r="U14" i="1"/>
  <c r="U13" i="1"/>
  <c r="U12" i="1"/>
  <c r="U11" i="1"/>
  <c r="U8" i="1"/>
  <c r="U7" i="1"/>
  <c r="T14" i="1"/>
  <c r="T13" i="1"/>
  <c r="T11" i="1"/>
  <c r="T9" i="1"/>
  <c r="T6" i="1"/>
  <c r="W7" i="1" l="1"/>
  <c r="W11" i="1"/>
  <c r="W8" i="1"/>
  <c r="W12" i="1"/>
  <c r="W9" i="1"/>
  <c r="W13" i="1"/>
  <c r="W10" i="1"/>
  <c r="W6" i="1"/>
  <c r="Y13" i="1"/>
  <c r="X9" i="1"/>
  <c r="AA13" i="1" l="1"/>
  <c r="Z13" i="1"/>
  <c r="AA14" i="1"/>
  <c r="Y6" i="1"/>
  <c r="Z6" i="1"/>
  <c r="AA6" i="1"/>
  <c r="AA12" i="1"/>
  <c r="Y12" i="1"/>
  <c r="Z12" i="1"/>
  <c r="Y10" i="1"/>
  <c r="AA10" i="1"/>
  <c r="Z10" i="1"/>
  <c r="AA8" i="1"/>
  <c r="Z8" i="1"/>
  <c r="Y8" i="1"/>
  <c r="X14" i="1"/>
  <c r="Y14" i="1"/>
  <c r="Z11" i="1"/>
  <c r="Y11" i="1"/>
  <c r="AA11" i="1"/>
  <c r="X13" i="1"/>
  <c r="Z14" i="1"/>
  <c r="Z9" i="1"/>
  <c r="AA9" i="1"/>
  <c r="Y9" i="1"/>
  <c r="Z7" i="1"/>
  <c r="AA7" i="1"/>
  <c r="Y7" i="1"/>
  <c r="W16" i="1"/>
  <c r="R16" i="1"/>
  <c r="E16" i="1"/>
  <c r="I13" i="1" s="1"/>
  <c r="D16" i="1"/>
  <c r="H14" i="1" s="1"/>
  <c r="C16" i="1"/>
  <c r="G14" i="1" s="1"/>
  <c r="I6" i="1" l="1"/>
  <c r="I14" i="1"/>
  <c r="J14" i="1" s="1"/>
  <c r="K14" i="1" s="1"/>
  <c r="I10" i="1"/>
  <c r="I8" i="1"/>
  <c r="I12" i="1"/>
  <c r="I7" i="1"/>
  <c r="I9" i="1"/>
  <c r="I11" i="1"/>
  <c r="H6" i="1"/>
  <c r="H7" i="1"/>
  <c r="H9" i="1"/>
  <c r="H11" i="1"/>
  <c r="J11" i="1" s="1"/>
  <c r="K11" i="1" s="1"/>
  <c r="H13" i="1"/>
  <c r="H8" i="1"/>
  <c r="H10" i="1"/>
  <c r="H12" i="1"/>
  <c r="G7" i="1"/>
  <c r="G9" i="1"/>
  <c r="G11" i="1"/>
  <c r="G13" i="1"/>
  <c r="G6" i="1"/>
  <c r="G16" i="1" s="1"/>
  <c r="G8" i="1"/>
  <c r="G10" i="1"/>
  <c r="G12" i="1"/>
  <c r="H16" i="1" l="1"/>
  <c r="I16" i="1"/>
  <c r="J7" i="1"/>
  <c r="K7" i="1" s="1"/>
  <c r="S14" i="1"/>
  <c r="J8" i="1"/>
  <c r="K8" i="1" s="1"/>
  <c r="J10" i="1"/>
  <c r="K10" i="1" s="1"/>
  <c r="J13" i="1"/>
  <c r="K13" i="1" s="1"/>
  <c r="J9" i="1"/>
  <c r="K9" i="1" s="1"/>
  <c r="J6" i="1"/>
  <c r="K6" i="1" s="1"/>
  <c r="J12" i="1"/>
  <c r="K12" i="1" s="1"/>
  <c r="X7" i="1" l="1"/>
  <c r="X11" i="1"/>
  <c r="S11" i="1"/>
  <c r="K16" i="1"/>
  <c r="J16" i="1"/>
  <c r="P16" i="1" l="1"/>
  <c r="S8" i="1"/>
  <c r="X8" i="1"/>
  <c r="S10" i="1"/>
  <c r="X10" i="1"/>
  <c r="S12" i="1"/>
  <c r="X12" i="1"/>
  <c r="S13" i="1"/>
  <c r="S9" i="1"/>
  <c r="O16" i="1"/>
  <c r="M16" i="1"/>
  <c r="X6" i="1"/>
  <c r="N16" i="1"/>
  <c r="X16" i="1" l="1"/>
  <c r="S16" i="1"/>
  <c r="Z16" i="1" l="1"/>
  <c r="Y16" i="1"/>
  <c r="AA16" i="1"/>
  <c r="U16" i="1"/>
  <c r="T16" i="1"/>
</calcChain>
</file>

<file path=xl/sharedStrings.xml><?xml version="1.0" encoding="utf-8"?>
<sst xmlns="http://schemas.openxmlformats.org/spreadsheetml/2006/main" count="59" uniqueCount="52">
  <si>
    <t>Kenosha</t>
  </si>
  <si>
    <t>Racine</t>
  </si>
  <si>
    <t>Milwaukee</t>
  </si>
  <si>
    <t>Manitowoc</t>
  </si>
  <si>
    <t>Door</t>
  </si>
  <si>
    <t>Number of Charter Boats - 5 year average (2008-2012)</t>
  </si>
  <si>
    <t>TOTAL</t>
  </si>
  <si>
    <t>Normalized 
Charter Boats</t>
  </si>
  <si>
    <t>Normalized 
Directed effort</t>
  </si>
  <si>
    <t>Normalized 
Harvest rate</t>
  </si>
  <si>
    <t>Sum</t>
  </si>
  <si>
    <t>Final Percentage</t>
  </si>
  <si>
    <t>Total number to be stocked</t>
  </si>
  <si>
    <t>Total number for Strawberry Creek</t>
  </si>
  <si>
    <t>Total number for rest of ports</t>
  </si>
  <si>
    <t>Total number per port</t>
  </si>
  <si>
    <t>Number of ports</t>
  </si>
  <si>
    <t>Reduction based on Status Quo model</t>
  </si>
  <si>
    <t>Reduction based on equal number per county</t>
  </si>
  <si>
    <t>2013 stocking numbers 
from status quo model</t>
  </si>
  <si>
    <t>2013 stocking 
numbers - equal numbers per port</t>
  </si>
  <si>
    <t>Allocation Percentage Calculations</t>
  </si>
  <si>
    <t>Chinook Salmon Allocation Strategy</t>
  </si>
  <si>
    <t>Ozaukee</t>
  </si>
  <si>
    <t>Sheboygan</t>
  </si>
  <si>
    <t>Kewaunee</t>
  </si>
  <si>
    <t>County</t>
  </si>
  <si>
    <t>Oconto/Marinette</t>
  </si>
  <si>
    <t>Directed effort from 
creel survey - Sep-Oct average (2002-2011)</t>
  </si>
  <si>
    <t>Harvest rate from 
Creel survey - Sep-Oct average (2002-2011)</t>
  </si>
  <si>
    <t>STEP 1</t>
  </si>
  <si>
    <t>STEP 2</t>
  </si>
  <si>
    <t>STEP 3</t>
  </si>
  <si>
    <t>STEP 4</t>
  </si>
  <si>
    <t>Wisconsin DNR Stocking Reduction Plans</t>
  </si>
  <si>
    <t>Chinook Salmon Actual Numbers to stock 2013</t>
  </si>
  <si>
    <t>Number to Stock</t>
  </si>
  <si>
    <t>Planned</t>
  </si>
  <si>
    <t>Projected</t>
  </si>
  <si>
    <t>Equivalents</t>
  </si>
  <si>
    <t>Equivalent</t>
  </si>
  <si>
    <t>Yearlings</t>
  </si>
  <si>
    <t>Fingerlings</t>
  </si>
  <si>
    <t>Wisconsin 2012 Quota</t>
  </si>
  <si>
    <t>Planned 37.8 % reduction</t>
  </si>
  <si>
    <t>Coho Salmon Equivalents</t>
  </si>
  <si>
    <t>Rainbow Trout Equivalents</t>
  </si>
  <si>
    <t>Lake Trout Equivalents</t>
  </si>
  <si>
    <t>FINAL NUMBER</t>
  </si>
  <si>
    <t>FINAL PERCENT</t>
  </si>
  <si>
    <t>CC</t>
  </si>
  <si>
    <t>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</si>
</sst>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9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/>
    <xf numFmtId="3" fontId="0" fillId="0" borderId="0" xfId="0" applyNumberFormat="1" applyFill="1"/>
    <xf numFmtId="0" fontId="0" fillId="0" borderId="0" xfId="0" applyAlignment="1"/>
    <xf numFmtId="3" fontId="4" fillId="0" borderId="0" xfId="0" applyNumberFormat="1" applyFont="1" applyFill="1"/>
    <xf numFmtId="3" fontId="5" fillId="0" borderId="0" xfId="0" applyNumberFormat="1" applyFont="1" applyFill="1"/>
    <xf numFmtId="3" fontId="5" fillId="0" borderId="0" xfId="0" applyNumberFormat="1" applyFont="1" applyFill="1" applyAlignment="1"/>
    <xf numFmtId="3" fontId="0" fillId="0" borderId="0" xfId="0" applyNumberFormat="1" applyFill="1" applyAlignment="1">
      <alignment horizontal="center"/>
    </xf>
    <xf numFmtId="4" fontId="0" fillId="0" borderId="0" xfId="0" applyNumberFormat="1" applyFill="1"/>
    <xf numFmtId="165" fontId="0" fillId="0" borderId="0" xfId="0" applyNumberFormat="1" applyFill="1"/>
    <xf numFmtId="165" fontId="0" fillId="7" borderId="0" xfId="0" applyNumberFormat="1" applyFill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9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9" fontId="0" fillId="0" borderId="0" xfId="0" applyNumberFormat="1" applyFill="1" applyProtection="1">
      <protection locked="0"/>
    </xf>
    <xf numFmtId="3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0" xfId="0" applyNumberFormat="1" applyFill="1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3" fillId="6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2" fillId="5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zoomScale="110" zoomScaleNormal="110" workbookViewId="0">
      <selection activeCell="C15" sqref="C15"/>
    </sheetView>
  </sheetViews>
  <sheetFormatPr defaultRowHeight="15" x14ac:dyDescent="0.25"/>
  <cols>
    <col min="1" max="1" width="33.140625" customWidth="1"/>
    <col min="2" max="2" width="1.7109375" customWidth="1"/>
    <col min="3" max="3" width="18.7109375" customWidth="1"/>
    <col min="4" max="4" width="18.85546875" customWidth="1"/>
    <col min="5" max="5" width="16.5703125" customWidth="1"/>
    <col min="6" max="6" width="3.28515625" customWidth="1"/>
    <col min="7" max="9" width="12" customWidth="1"/>
    <col min="10" max="10" width="9.85546875" customWidth="1"/>
    <col min="11" max="11" width="10.85546875" customWidth="1"/>
    <col min="12" max="13" width="9.140625" customWidth="1"/>
    <col min="14" max="15" width="13.140625" customWidth="1"/>
    <col min="16" max="17" width="9.140625" customWidth="1"/>
    <col min="18" max="18" width="13" customWidth="1"/>
    <col min="19" max="21" width="9.140625" customWidth="1"/>
    <col min="22" max="22" width="1.7109375" customWidth="1"/>
    <col min="23" max="23" width="12.5703125" customWidth="1"/>
    <col min="24" max="25" width="9.140625" customWidth="1"/>
    <col min="26" max="26" width="9.140625" style="5" customWidth="1"/>
    <col min="27" max="31" width="9.140625" customWidth="1"/>
  </cols>
  <sheetData>
    <row r="1" spans="1:30" ht="21" x14ac:dyDescent="0.35">
      <c r="A1" s="15" t="s">
        <v>22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7"/>
      <c r="AA1" s="16"/>
    </row>
    <row r="2" spans="1:30" x14ac:dyDescent="0.25">
      <c r="A2" s="28" t="s">
        <v>30</v>
      </c>
      <c r="B2" s="29"/>
      <c r="C2" s="29"/>
      <c r="D2" s="29"/>
      <c r="E2" s="29"/>
      <c r="F2" s="16"/>
      <c r="G2" s="31" t="s">
        <v>31</v>
      </c>
      <c r="H2" s="31"/>
      <c r="I2" s="31"/>
      <c r="J2" s="31"/>
      <c r="K2" s="31"/>
      <c r="L2" s="16"/>
      <c r="M2" s="32" t="s">
        <v>32</v>
      </c>
      <c r="N2" s="32"/>
      <c r="O2" s="32"/>
      <c r="P2" s="32"/>
      <c r="Q2" s="16"/>
      <c r="R2" s="30" t="s">
        <v>33</v>
      </c>
      <c r="S2" s="30"/>
      <c r="T2" s="30"/>
      <c r="U2" s="30"/>
      <c r="V2" s="16"/>
      <c r="W2" s="30" t="s">
        <v>33</v>
      </c>
      <c r="X2" s="30"/>
      <c r="Y2" s="30"/>
      <c r="Z2" s="30"/>
      <c r="AA2" s="30"/>
      <c r="AB2" s="4"/>
    </row>
    <row r="3" spans="1:30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29" t="s">
        <v>21</v>
      </c>
      <c r="N3" s="29"/>
      <c r="O3" s="29"/>
      <c r="P3" s="29"/>
      <c r="Q3" s="16"/>
      <c r="R3" s="29" t="s">
        <v>17</v>
      </c>
      <c r="S3" s="29"/>
      <c r="T3" s="29"/>
      <c r="U3" s="29"/>
      <c r="V3" s="16"/>
      <c r="W3" s="29" t="s">
        <v>18</v>
      </c>
      <c r="X3" s="29"/>
      <c r="Y3" s="29"/>
      <c r="Z3" s="29"/>
      <c r="AA3" s="29"/>
      <c r="AB3" s="7"/>
    </row>
    <row r="4" spans="1:30" ht="60" customHeight="1" x14ac:dyDescent="0.25">
      <c r="A4" s="16" t="s">
        <v>26</v>
      </c>
      <c r="B4" s="16"/>
      <c r="C4" s="18" t="s">
        <v>5</v>
      </c>
      <c r="D4" s="18" t="s">
        <v>28</v>
      </c>
      <c r="E4" s="19" t="s">
        <v>29</v>
      </c>
      <c r="F4" s="18"/>
      <c r="G4" s="18" t="s">
        <v>7</v>
      </c>
      <c r="H4" s="18" t="s">
        <v>8</v>
      </c>
      <c r="I4" s="18" t="s">
        <v>9</v>
      </c>
      <c r="J4" s="20" t="s">
        <v>10</v>
      </c>
      <c r="K4" s="18" t="s">
        <v>11</v>
      </c>
      <c r="L4" s="16"/>
      <c r="M4" s="21">
        <v>0.1</v>
      </c>
      <c r="N4" s="21">
        <v>0.2</v>
      </c>
      <c r="O4" s="21">
        <v>0.25</v>
      </c>
      <c r="P4" s="21">
        <v>0.5</v>
      </c>
      <c r="Q4" s="16"/>
      <c r="R4" s="22" t="s">
        <v>19</v>
      </c>
      <c r="S4" s="21">
        <v>0.1</v>
      </c>
      <c r="T4" s="21">
        <v>0.2</v>
      </c>
      <c r="U4" s="21">
        <v>0.5</v>
      </c>
      <c r="V4" s="16"/>
      <c r="W4" s="18" t="s">
        <v>20</v>
      </c>
      <c r="X4" s="21">
        <v>0.1</v>
      </c>
      <c r="Y4" s="21">
        <v>0.2</v>
      </c>
      <c r="Z4" s="23">
        <v>0.25</v>
      </c>
      <c r="AA4" s="21">
        <v>0.5</v>
      </c>
      <c r="AB4" s="1"/>
      <c r="AC4" s="3"/>
      <c r="AD4" s="3"/>
    </row>
    <row r="5" spans="1:30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/>
      <c r="AA5" s="17"/>
      <c r="AB5" s="5"/>
    </row>
    <row r="6" spans="1:30" x14ac:dyDescent="0.25">
      <c r="A6" s="16" t="s">
        <v>0</v>
      </c>
      <c r="B6" s="16"/>
      <c r="C6" s="16">
        <v>27.6</v>
      </c>
      <c r="D6" s="24">
        <v>41742</v>
      </c>
      <c r="E6" s="16">
        <v>5.1700000000000003E-2</v>
      </c>
      <c r="F6" s="16"/>
      <c r="G6" s="25">
        <f t="shared" ref="G6:G14" si="0">C6/$C$16</f>
        <v>8.937823834196891E-2</v>
      </c>
      <c r="H6" s="25">
        <f t="shared" ref="H6:H14" si="1">D6/$D$16</f>
        <v>0.14874230756896017</v>
      </c>
      <c r="I6" s="25">
        <f t="shared" ref="I6:I14" si="2">E6/$E$16</f>
        <v>5.8883826879271073E-2</v>
      </c>
      <c r="J6" s="25">
        <f t="shared" ref="J6:J14" si="3">SUM(G6:I6)</f>
        <v>0.29700437279020014</v>
      </c>
      <c r="K6" s="25">
        <f t="shared" ref="K6:K14" si="4">J6/3</f>
        <v>9.9001457596733386E-2</v>
      </c>
      <c r="L6" s="16"/>
      <c r="M6" s="24">
        <f t="shared" ref="M6:M14" si="5">K6*($C$34)*M$4</f>
        <v>6417.9907982165778</v>
      </c>
      <c r="N6" s="24">
        <f t="shared" ref="N6:N14" si="6">K6*($C$34)*N$4</f>
        <v>12835.981596433156</v>
      </c>
      <c r="O6" s="24">
        <f t="shared" ref="O6:O14" si="7">K6*($C$34)*O$4</f>
        <v>16044.976995541443</v>
      </c>
      <c r="P6" s="24">
        <f t="shared" ref="P6:P14" si="8">K6*($C$34)*P$4</f>
        <v>32089.953991082886</v>
      </c>
      <c r="Q6" s="16"/>
      <c r="R6" s="24">
        <v>78109</v>
      </c>
      <c r="S6" s="24">
        <f>(R6*0.9)+M6</f>
        <v>76716.090798216581</v>
      </c>
      <c r="T6" s="24">
        <f>(R6*0.8)+N6</f>
        <v>75323.181596433162</v>
      </c>
      <c r="U6" s="26">
        <f>(R6*0.5)+P6</f>
        <v>71144.45399108289</v>
      </c>
      <c r="V6" s="16"/>
      <c r="W6" s="24">
        <f t="shared" ref="W6:W13" si="9">$C$36</f>
        <v>81034.044270833328</v>
      </c>
      <c r="X6" s="24">
        <f t="shared" ref="X6:X12" si="10">(W6*0.9)+M6</f>
        <v>79348.630641966578</v>
      </c>
      <c r="Y6" s="24">
        <f>(W6*0.8)+N6</f>
        <v>77663.217013099813</v>
      </c>
      <c r="Z6" s="27">
        <f>(W6*0.75)+O6</f>
        <v>76820.510198666438</v>
      </c>
      <c r="AA6" s="27">
        <f>(W6*0.5)+P6</f>
        <v>72606.976126499547</v>
      </c>
      <c r="AB6" s="6"/>
      <c r="AC6" s="2"/>
      <c r="AD6" s="2"/>
    </row>
    <row r="7" spans="1:30" x14ac:dyDescent="0.25">
      <c r="A7" s="16" t="s">
        <v>1</v>
      </c>
      <c r="B7" s="16"/>
      <c r="C7" s="16">
        <v>26.6</v>
      </c>
      <c r="D7" s="24">
        <v>36540</v>
      </c>
      <c r="E7" s="16">
        <v>7.1599999999999997E-2</v>
      </c>
      <c r="F7" s="16"/>
      <c r="G7" s="25">
        <f t="shared" si="0"/>
        <v>8.6139896373056996E-2</v>
      </c>
      <c r="H7" s="25">
        <f t="shared" si="1"/>
        <v>0.13020564224449727</v>
      </c>
      <c r="I7" s="25">
        <f t="shared" si="2"/>
        <v>8.1548974943052382E-2</v>
      </c>
      <c r="J7" s="25">
        <f t="shared" si="3"/>
        <v>0.29789451356060664</v>
      </c>
      <c r="K7" s="25">
        <f t="shared" si="4"/>
        <v>9.9298171186868886E-2</v>
      </c>
      <c r="L7" s="16"/>
      <c r="M7" s="24">
        <f t="shared" si="5"/>
        <v>6437.2259199756163</v>
      </c>
      <c r="N7" s="24">
        <f t="shared" si="6"/>
        <v>12874.451839951233</v>
      </c>
      <c r="O7" s="24">
        <f t="shared" si="7"/>
        <v>16093.06479993904</v>
      </c>
      <c r="P7" s="24">
        <f t="shared" si="8"/>
        <v>32186.129599878081</v>
      </c>
      <c r="Q7" s="16"/>
      <c r="R7" s="24">
        <v>78109</v>
      </c>
      <c r="S7" s="24">
        <f>(R7*0.9)+M7</f>
        <v>76735.325919975628</v>
      </c>
      <c r="T7" s="24">
        <f t="shared" ref="T7:T14" si="11">(R7*0.8)+N7</f>
        <v>75361.651839951242</v>
      </c>
      <c r="U7" s="26">
        <f t="shared" ref="U7:U14" si="12">(R7*0.5)+P7</f>
        <v>71240.629599878084</v>
      </c>
      <c r="V7" s="16"/>
      <c r="W7" s="24">
        <f t="shared" si="9"/>
        <v>81034.044270833328</v>
      </c>
      <c r="X7" s="24">
        <f t="shared" si="10"/>
        <v>79367.865763725626</v>
      </c>
      <c r="Y7" s="24">
        <f t="shared" ref="Y7:Y12" si="13">(W7*0.8)+N7</f>
        <v>77701.687256617894</v>
      </c>
      <c r="Z7" s="27">
        <f t="shared" ref="Z7:Z12" si="14">(W7*0.75)+O7</f>
        <v>76868.598003064035</v>
      </c>
      <c r="AA7" s="27">
        <f t="shared" ref="AA7:AA12" si="15">(W7*0.5)+P7</f>
        <v>72703.151735294741</v>
      </c>
      <c r="AB7" s="6"/>
      <c r="AC7" s="2"/>
      <c r="AD7" s="2"/>
    </row>
    <row r="8" spans="1:30" x14ac:dyDescent="0.25">
      <c r="A8" s="16" t="s">
        <v>2</v>
      </c>
      <c r="B8" s="16"/>
      <c r="C8" s="16">
        <v>25.8</v>
      </c>
      <c r="D8" s="24">
        <v>38058</v>
      </c>
      <c r="E8" s="16">
        <v>8.77E-2</v>
      </c>
      <c r="F8" s="16"/>
      <c r="G8" s="25">
        <f t="shared" si="0"/>
        <v>8.3549222797927467E-2</v>
      </c>
      <c r="H8" s="25">
        <f t="shared" si="1"/>
        <v>0.13561484216040165</v>
      </c>
      <c r="I8" s="25">
        <f t="shared" si="2"/>
        <v>9.9886104783599092E-2</v>
      </c>
      <c r="J8" s="25">
        <f t="shared" si="3"/>
        <v>0.31905016974192824</v>
      </c>
      <c r="K8" s="25">
        <f t="shared" si="4"/>
        <v>0.10635005658064274</v>
      </c>
      <c r="L8" s="16"/>
      <c r="M8" s="24">
        <f t="shared" si="5"/>
        <v>6894.3801545291471</v>
      </c>
      <c r="N8" s="24">
        <f t="shared" si="6"/>
        <v>13788.760309058294</v>
      </c>
      <c r="O8" s="24">
        <f t="shared" si="7"/>
        <v>17235.950386322867</v>
      </c>
      <c r="P8" s="24">
        <f t="shared" si="8"/>
        <v>34471.900772645735</v>
      </c>
      <c r="Q8" s="16"/>
      <c r="R8" s="24">
        <v>78109</v>
      </c>
      <c r="S8" s="24">
        <f t="shared" ref="S8:S14" si="16">(R8*0.9)+M8</f>
        <v>77192.480154529156</v>
      </c>
      <c r="T8" s="24">
        <f t="shared" si="11"/>
        <v>76275.960309058297</v>
      </c>
      <c r="U8" s="26">
        <f t="shared" si="12"/>
        <v>73526.400772645735</v>
      </c>
      <c r="V8" s="16"/>
      <c r="W8" s="24">
        <f t="shared" si="9"/>
        <v>81034.044270833328</v>
      </c>
      <c r="X8" s="24">
        <f t="shared" si="10"/>
        <v>79825.019998279153</v>
      </c>
      <c r="Y8" s="24">
        <f t="shared" si="13"/>
        <v>78615.995725724963</v>
      </c>
      <c r="Z8" s="27">
        <f t="shared" si="14"/>
        <v>78011.48358944786</v>
      </c>
      <c r="AA8" s="27">
        <f t="shared" si="15"/>
        <v>74988.922908062406</v>
      </c>
      <c r="AB8" s="6"/>
      <c r="AC8" s="2"/>
      <c r="AD8" s="2"/>
    </row>
    <row r="9" spans="1:30" x14ac:dyDescent="0.25">
      <c r="A9" s="16" t="s">
        <v>23</v>
      </c>
      <c r="B9" s="16"/>
      <c r="C9" s="16">
        <v>42.4</v>
      </c>
      <c r="D9" s="24">
        <v>40882</v>
      </c>
      <c r="E9" s="16">
        <v>0.16339999999999999</v>
      </c>
      <c r="F9" s="16"/>
      <c r="G9" s="25">
        <f t="shared" si="0"/>
        <v>0.13730569948186527</v>
      </c>
      <c r="H9" s="25">
        <f t="shared" si="1"/>
        <v>0.14567780695784174</v>
      </c>
      <c r="I9" s="25">
        <f t="shared" si="2"/>
        <v>0.18610478359908883</v>
      </c>
      <c r="J9" s="25">
        <f t="shared" si="3"/>
        <v>0.46908829003879587</v>
      </c>
      <c r="K9" s="25">
        <f t="shared" si="4"/>
        <v>0.15636276334626528</v>
      </c>
      <c r="L9" s="16"/>
      <c r="M9" s="24">
        <f t="shared" si="5"/>
        <v>10136.565669848876</v>
      </c>
      <c r="N9" s="24">
        <f t="shared" si="6"/>
        <v>20273.131339697753</v>
      </c>
      <c r="O9" s="24">
        <f t="shared" si="7"/>
        <v>25341.41417462219</v>
      </c>
      <c r="P9" s="24">
        <f t="shared" si="8"/>
        <v>50682.828349244381</v>
      </c>
      <c r="Q9" s="16"/>
      <c r="R9" s="24">
        <v>66439</v>
      </c>
      <c r="S9" s="24">
        <f t="shared" si="16"/>
        <v>69931.66566984888</v>
      </c>
      <c r="T9" s="24">
        <f t="shared" si="11"/>
        <v>73424.331339697761</v>
      </c>
      <c r="U9" s="26">
        <f t="shared" si="12"/>
        <v>83902.328349244373</v>
      </c>
      <c r="V9" s="16"/>
      <c r="W9" s="24">
        <f t="shared" si="9"/>
        <v>81034.044270833328</v>
      </c>
      <c r="X9" s="24">
        <f>(W9*0.9)+M9</f>
        <v>83067.205513598878</v>
      </c>
      <c r="Y9" s="24">
        <f t="shared" si="13"/>
        <v>85100.366756364412</v>
      </c>
      <c r="Z9" s="27">
        <f t="shared" si="14"/>
        <v>86116.947377747187</v>
      </c>
      <c r="AA9" s="27">
        <f t="shared" si="15"/>
        <v>91199.850484661045</v>
      </c>
      <c r="AB9" s="6"/>
      <c r="AC9" s="2"/>
      <c r="AD9" s="2"/>
    </row>
    <row r="10" spans="1:30" x14ac:dyDescent="0.25">
      <c r="A10" s="16" t="s">
        <v>24</v>
      </c>
      <c r="B10" s="16"/>
      <c r="C10" s="16">
        <v>38</v>
      </c>
      <c r="D10" s="24">
        <v>32720</v>
      </c>
      <c r="E10" s="16">
        <v>7.5399999999999995E-2</v>
      </c>
      <c r="F10" s="16"/>
      <c r="G10" s="25">
        <f t="shared" si="0"/>
        <v>0.12305699481865284</v>
      </c>
      <c r="H10" s="25">
        <f t="shared" si="1"/>
        <v>0.1165935581346456</v>
      </c>
      <c r="I10" s="25">
        <f t="shared" si="2"/>
        <v>8.5876993166287011E-2</v>
      </c>
      <c r="J10" s="25">
        <f t="shared" si="3"/>
        <v>0.32552754611958545</v>
      </c>
      <c r="K10" s="25">
        <f t="shared" si="4"/>
        <v>0.10850918203986182</v>
      </c>
      <c r="L10" s="16"/>
      <c r="M10" s="24">
        <f t="shared" si="5"/>
        <v>7034.3502889680603</v>
      </c>
      <c r="N10" s="24">
        <f t="shared" si="6"/>
        <v>14068.700577936121</v>
      </c>
      <c r="O10" s="24">
        <f t="shared" si="7"/>
        <v>17585.875722420151</v>
      </c>
      <c r="P10" s="24">
        <f t="shared" si="8"/>
        <v>35171.751444840302</v>
      </c>
      <c r="Q10" s="16"/>
      <c r="R10" s="24">
        <v>66439</v>
      </c>
      <c r="S10" s="24">
        <f t="shared" si="16"/>
        <v>66829.450288968059</v>
      </c>
      <c r="T10" s="24">
        <f t="shared" si="11"/>
        <v>67219.900577936118</v>
      </c>
      <c r="U10" s="26">
        <f t="shared" si="12"/>
        <v>68391.251444840309</v>
      </c>
      <c r="V10" s="16"/>
      <c r="W10" s="24">
        <f t="shared" si="9"/>
        <v>81034.044270833328</v>
      </c>
      <c r="X10" s="24">
        <f t="shared" si="10"/>
        <v>79964.990132718056</v>
      </c>
      <c r="Y10" s="24">
        <f t="shared" si="13"/>
        <v>78895.935994602783</v>
      </c>
      <c r="Z10" s="27">
        <f t="shared" si="14"/>
        <v>78361.408925545154</v>
      </c>
      <c r="AA10" s="27">
        <f t="shared" si="15"/>
        <v>75688.773580256966</v>
      </c>
      <c r="AB10" s="6"/>
      <c r="AC10" s="2"/>
      <c r="AD10" s="2"/>
    </row>
    <row r="11" spans="1:30" x14ac:dyDescent="0.25">
      <c r="A11" s="16" t="s">
        <v>3</v>
      </c>
      <c r="B11" s="16"/>
      <c r="C11" s="16">
        <v>29</v>
      </c>
      <c r="D11" s="24">
        <v>24414</v>
      </c>
      <c r="E11" s="16">
        <v>0.1293</v>
      </c>
      <c r="F11" s="16"/>
      <c r="G11" s="25">
        <f t="shared" si="0"/>
        <v>9.3911917098445596E-2</v>
      </c>
      <c r="H11" s="25">
        <f t="shared" si="1"/>
        <v>8.6996183627727319E-2</v>
      </c>
      <c r="I11" s="25">
        <f t="shared" si="2"/>
        <v>0.14726651480637812</v>
      </c>
      <c r="J11" s="25">
        <f t="shared" si="3"/>
        <v>0.32817461553255101</v>
      </c>
      <c r="K11" s="25">
        <f t="shared" si="4"/>
        <v>0.10939153851085033</v>
      </c>
      <c r="L11" s="16"/>
      <c r="M11" s="24">
        <f t="shared" si="5"/>
        <v>7091.5510196342511</v>
      </c>
      <c r="N11" s="24">
        <f t="shared" si="6"/>
        <v>14183.102039268502</v>
      </c>
      <c r="O11" s="24">
        <f t="shared" si="7"/>
        <v>17728.877549085628</v>
      </c>
      <c r="P11" s="24">
        <f t="shared" si="8"/>
        <v>35457.755098171256</v>
      </c>
      <c r="Q11" s="16"/>
      <c r="R11" s="24">
        <v>89518</v>
      </c>
      <c r="S11" s="24">
        <f t="shared" si="16"/>
        <v>87657.751019634248</v>
      </c>
      <c r="T11" s="24">
        <f t="shared" si="11"/>
        <v>85797.502039268511</v>
      </c>
      <c r="U11" s="26">
        <f t="shared" si="12"/>
        <v>80216.755098171256</v>
      </c>
      <c r="V11" s="16"/>
      <c r="W11" s="24">
        <f t="shared" si="9"/>
        <v>81034.044270833328</v>
      </c>
      <c r="X11" s="24">
        <f t="shared" si="10"/>
        <v>80022.190863384254</v>
      </c>
      <c r="Y11" s="24">
        <f t="shared" si="13"/>
        <v>79010.337455935165</v>
      </c>
      <c r="Z11" s="27">
        <f t="shared" si="14"/>
        <v>78504.410752210621</v>
      </c>
      <c r="AA11" s="27">
        <f t="shared" si="15"/>
        <v>75974.777233587927</v>
      </c>
      <c r="AB11" s="6"/>
      <c r="AC11" s="2"/>
      <c r="AD11" s="2"/>
    </row>
    <row r="12" spans="1:30" x14ac:dyDescent="0.25">
      <c r="A12" s="16" t="s">
        <v>25</v>
      </c>
      <c r="B12" s="16"/>
      <c r="C12" s="16">
        <v>67.2</v>
      </c>
      <c r="D12" s="24">
        <v>35316</v>
      </c>
      <c r="E12" s="16">
        <v>0.13669999999999999</v>
      </c>
      <c r="F12" s="16"/>
      <c r="G12" s="25">
        <f t="shared" si="0"/>
        <v>0.21761658031088082</v>
      </c>
      <c r="H12" s="25">
        <f t="shared" si="1"/>
        <v>0.12584407393285893</v>
      </c>
      <c r="I12" s="25">
        <f t="shared" si="2"/>
        <v>0.15569476082004555</v>
      </c>
      <c r="J12" s="25">
        <f t="shared" si="3"/>
        <v>0.49915541506378525</v>
      </c>
      <c r="K12" s="25">
        <f t="shared" si="4"/>
        <v>0.16638513835459509</v>
      </c>
      <c r="L12" s="16"/>
      <c r="M12" s="24">
        <f t="shared" si="5"/>
        <v>10786.288533947991</v>
      </c>
      <c r="N12" s="24">
        <f t="shared" si="6"/>
        <v>21572.577067895982</v>
      </c>
      <c r="O12" s="24">
        <f t="shared" si="7"/>
        <v>26965.721334869973</v>
      </c>
      <c r="P12" s="24">
        <f t="shared" si="8"/>
        <v>53931.442669739947</v>
      </c>
      <c r="Q12" s="16"/>
      <c r="R12" s="24">
        <v>89518</v>
      </c>
      <c r="S12" s="24">
        <f t="shared" si="16"/>
        <v>91352.488533947995</v>
      </c>
      <c r="T12" s="24">
        <f t="shared" si="11"/>
        <v>93186.97706789599</v>
      </c>
      <c r="U12" s="26">
        <f t="shared" si="12"/>
        <v>98690.442669739947</v>
      </c>
      <c r="V12" s="16"/>
      <c r="W12" s="24">
        <f t="shared" si="9"/>
        <v>81034.044270833328</v>
      </c>
      <c r="X12" s="24">
        <f t="shared" si="10"/>
        <v>83716.928377698001</v>
      </c>
      <c r="Y12" s="24">
        <f t="shared" si="13"/>
        <v>86399.812484562644</v>
      </c>
      <c r="Z12" s="27">
        <f t="shared" si="14"/>
        <v>87741.254537994973</v>
      </c>
      <c r="AA12" s="27">
        <f t="shared" si="15"/>
        <v>94448.464805156604</v>
      </c>
      <c r="AB12" s="6"/>
      <c r="AC12" s="2"/>
      <c r="AD12" s="2"/>
    </row>
    <row r="13" spans="1:30" x14ac:dyDescent="0.25">
      <c r="A13" s="16" t="s">
        <v>4</v>
      </c>
      <c r="B13" s="16"/>
      <c r="C13" s="16">
        <v>51.4</v>
      </c>
      <c r="D13" s="24">
        <v>11565</v>
      </c>
      <c r="E13" s="16">
        <v>9.1300000000000006E-2</v>
      </c>
      <c r="F13" s="16"/>
      <c r="G13" s="25">
        <f t="shared" si="0"/>
        <v>0.16645077720207252</v>
      </c>
      <c r="H13" s="25">
        <f t="shared" si="1"/>
        <v>4.1210406473935708E-2</v>
      </c>
      <c r="I13" s="25">
        <f t="shared" si="2"/>
        <v>0.10398633257403189</v>
      </c>
      <c r="J13" s="25">
        <f t="shared" si="3"/>
        <v>0.31164751625004011</v>
      </c>
      <c r="K13" s="25">
        <f t="shared" si="4"/>
        <v>0.10388250541668004</v>
      </c>
      <c r="L13" s="16"/>
      <c r="M13" s="24">
        <f t="shared" si="5"/>
        <v>6734.4156343202667</v>
      </c>
      <c r="N13" s="24">
        <f t="shared" si="6"/>
        <v>13468.831268640533</v>
      </c>
      <c r="O13" s="24">
        <f t="shared" si="7"/>
        <v>16836.039085800665</v>
      </c>
      <c r="P13" s="24">
        <f t="shared" si="8"/>
        <v>33672.07817160133</v>
      </c>
      <c r="Q13" s="16"/>
      <c r="R13" s="24">
        <v>29319</v>
      </c>
      <c r="S13" s="24">
        <f t="shared" si="16"/>
        <v>33121.515634320269</v>
      </c>
      <c r="T13" s="24">
        <f t="shared" si="11"/>
        <v>36924.031268640538</v>
      </c>
      <c r="U13" s="26">
        <f t="shared" si="12"/>
        <v>48331.57817160133</v>
      </c>
      <c r="V13" s="16"/>
      <c r="W13" s="24">
        <f t="shared" si="9"/>
        <v>81034.044270833328</v>
      </c>
      <c r="X13" s="24">
        <f>((W13*0.9)+M13+M14)*(R13/(R13+R14))</f>
        <v>23836.167962023555</v>
      </c>
      <c r="Y13" s="24">
        <f>((W13*0.8)+N13+N14)*(R13/(R13+R14))</f>
        <v>24389.401995110373</v>
      </c>
      <c r="Z13" s="27">
        <f>((W13*0.75)+O13+O14)*(R13/(R13+R14))</f>
        <v>24666.019011653785</v>
      </c>
      <c r="AA13" s="27">
        <f>((W13*0.5)+P13+P14)*(R13/(R13+R14))</f>
        <v>26049.104094370829</v>
      </c>
      <c r="AB13" s="6"/>
      <c r="AC13" s="2"/>
      <c r="AD13" s="2"/>
    </row>
    <row r="14" spans="1:30" x14ac:dyDescent="0.25">
      <c r="A14" s="16" t="s">
        <v>27</v>
      </c>
      <c r="B14" s="16"/>
      <c r="C14" s="16">
        <v>0.8</v>
      </c>
      <c r="D14" s="24">
        <v>19396</v>
      </c>
      <c r="E14" s="16">
        <v>7.0900000000000005E-2</v>
      </c>
      <c r="F14" s="16"/>
      <c r="G14" s="25">
        <f t="shared" si="0"/>
        <v>2.5906735751295338E-3</v>
      </c>
      <c r="H14" s="25">
        <f t="shared" si="1"/>
        <v>6.9115178899131602E-2</v>
      </c>
      <c r="I14" s="25">
        <f t="shared" si="2"/>
        <v>8.0751708428246013E-2</v>
      </c>
      <c r="J14" s="25">
        <f t="shared" si="3"/>
        <v>0.15245756090250714</v>
      </c>
      <c r="K14" s="25">
        <f t="shared" si="4"/>
        <v>5.0819186967502379E-2</v>
      </c>
      <c r="L14" s="16"/>
      <c r="M14" s="24">
        <f t="shared" si="5"/>
        <v>3294.4673972258752</v>
      </c>
      <c r="N14" s="24">
        <f t="shared" si="6"/>
        <v>6588.9347944517503</v>
      </c>
      <c r="O14" s="24">
        <f t="shared" si="7"/>
        <v>8236.1684930646879</v>
      </c>
      <c r="P14" s="24">
        <f t="shared" si="8"/>
        <v>16472.336986129376</v>
      </c>
      <c r="Q14" s="16"/>
      <c r="R14" s="24">
        <v>72723</v>
      </c>
      <c r="S14" s="24">
        <f t="shared" si="16"/>
        <v>68745.167397225887</v>
      </c>
      <c r="T14" s="24">
        <f t="shared" si="11"/>
        <v>64767.334794451752</v>
      </c>
      <c r="U14" s="26">
        <f t="shared" si="12"/>
        <v>52833.836986129376</v>
      </c>
      <c r="V14" s="16"/>
      <c r="W14" s="24"/>
      <c r="X14" s="24">
        <f>((W13*0.9)+M13+M14)*(R14/(R13+R14))</f>
        <v>59123.354913272582</v>
      </c>
      <c r="Y14" s="24">
        <f>((W13*0.8)+N13+N14)*(R14/(R13+R14))</f>
        <v>60495.59948464857</v>
      </c>
      <c r="Z14" s="27">
        <f>((W13*0.75)+O13+O14)*(R14/(R13+R14))</f>
        <v>61181.721770336575</v>
      </c>
      <c r="AA14" s="27">
        <f>((W13*0.5)+P13+P14)*(R14/(R13+R14))</f>
        <v>64612.333198776549</v>
      </c>
      <c r="AB14" s="6"/>
      <c r="AD14" s="2"/>
    </row>
    <row r="15" spans="1:30" x14ac:dyDescent="0.25">
      <c r="A15" s="16"/>
      <c r="B15" s="16"/>
      <c r="C15" s="16"/>
      <c r="D15" s="24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7"/>
      <c r="AA15" s="17"/>
      <c r="AB15" s="5"/>
    </row>
    <row r="16" spans="1:30" x14ac:dyDescent="0.25">
      <c r="A16" s="16" t="s">
        <v>6</v>
      </c>
      <c r="B16" s="16"/>
      <c r="C16" s="16">
        <f>SUM(C6:C14)</f>
        <v>308.8</v>
      </c>
      <c r="D16" s="24">
        <f>SUM(D6:D14)</f>
        <v>280633</v>
      </c>
      <c r="E16" s="16">
        <f>SUM(E6:E14)</f>
        <v>0.878</v>
      </c>
      <c r="F16" s="16"/>
      <c r="G16" s="16">
        <f>SUM(G6:G15)</f>
        <v>1</v>
      </c>
      <c r="H16" s="16">
        <f>SUM(H6:H15)</f>
        <v>1</v>
      </c>
      <c r="I16" s="16">
        <f>SUM(I6:I15)</f>
        <v>0.99999999999999989</v>
      </c>
      <c r="J16" s="16">
        <f>SUM(J6:J14)</f>
        <v>3</v>
      </c>
      <c r="K16" s="16">
        <f>SUM(K6:K14)</f>
        <v>1</v>
      </c>
      <c r="L16" s="16"/>
      <c r="M16" s="24">
        <f>SUM(M6:M14)</f>
        <v>64827.235416666663</v>
      </c>
      <c r="N16" s="24">
        <f>SUM(N6:N14)</f>
        <v>129654.47083333333</v>
      </c>
      <c r="O16" s="24">
        <f>SUM(O6:O14)</f>
        <v>162068.08854166663</v>
      </c>
      <c r="P16" s="24">
        <f>SUM(P6:P14)</f>
        <v>324136.17708333326</v>
      </c>
      <c r="Q16" s="16"/>
      <c r="R16" s="24">
        <f>SUM(R6:R14)</f>
        <v>648283</v>
      </c>
      <c r="S16" s="24">
        <f>SUM(S6:S14)</f>
        <v>648281.93541666667</v>
      </c>
      <c r="T16" s="24">
        <f>SUM(T6:T14)</f>
        <v>648280.87083333323</v>
      </c>
      <c r="U16" s="24">
        <f>SUM(U6:U14)</f>
        <v>648277.67708333326</v>
      </c>
      <c r="V16" s="16"/>
      <c r="W16" s="24">
        <f>SUM(W6:W14)</f>
        <v>648272.35416666663</v>
      </c>
      <c r="X16" s="24">
        <f>SUM(X6:X14)</f>
        <v>648272.35416666663</v>
      </c>
      <c r="Y16" s="24">
        <f>SUM(Y6:Y14)</f>
        <v>648272.35416666651</v>
      </c>
      <c r="Z16" s="27">
        <f>SUM(Z6:Z14)</f>
        <v>648272.35416666674</v>
      </c>
      <c r="AA16" s="24">
        <f>SUM(AA6:AA14)</f>
        <v>648272.35416666663</v>
      </c>
      <c r="AB16" s="2"/>
    </row>
    <row r="17" spans="1:27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7"/>
      <c r="AA17" s="16"/>
    </row>
    <row r="18" spans="1:27" x14ac:dyDescent="0.25">
      <c r="A18" s="8" t="s">
        <v>34</v>
      </c>
      <c r="B18" s="6"/>
      <c r="C18" s="6"/>
      <c r="D18" s="6"/>
      <c r="E18" s="6"/>
      <c r="F18" s="6"/>
      <c r="G18" s="6"/>
      <c r="H18" s="6"/>
      <c r="I18" s="6"/>
      <c r="J18" s="6"/>
    </row>
    <row r="19" spans="1:27" x14ac:dyDescent="0.25">
      <c r="A19" s="9"/>
      <c r="B19" s="6"/>
      <c r="C19" s="6"/>
      <c r="D19" s="6"/>
      <c r="E19" s="6"/>
      <c r="F19" s="6"/>
      <c r="G19" s="6"/>
      <c r="H19" s="6"/>
      <c r="I19" s="6"/>
      <c r="J19" s="6"/>
      <c r="Z19" s="6"/>
    </row>
    <row r="20" spans="1:27" x14ac:dyDescent="0.25">
      <c r="A20" s="10" t="s">
        <v>35</v>
      </c>
      <c r="B20" s="6"/>
      <c r="C20" s="6"/>
      <c r="D20" s="6"/>
      <c r="E20" s="6"/>
      <c r="F20" s="6"/>
      <c r="G20" s="6"/>
      <c r="H20" s="6"/>
      <c r="I20" s="6"/>
      <c r="J20" s="6"/>
      <c r="Z20" s="6"/>
    </row>
    <row r="21" spans="1:27" x14ac:dyDescent="0.25">
      <c r="A21" s="9"/>
      <c r="B21" s="6"/>
      <c r="C21" s="6" t="s">
        <v>36</v>
      </c>
      <c r="D21" s="6"/>
      <c r="E21" s="11" t="s">
        <v>37</v>
      </c>
      <c r="G21" s="11" t="s">
        <v>38</v>
      </c>
      <c r="H21" s="11" t="s">
        <v>39</v>
      </c>
      <c r="I21" s="11" t="s">
        <v>37</v>
      </c>
      <c r="J21" s="11" t="s">
        <v>38</v>
      </c>
      <c r="K21" s="11" t="s">
        <v>40</v>
      </c>
      <c r="Z21" s="6"/>
    </row>
    <row r="22" spans="1:27" x14ac:dyDescent="0.25">
      <c r="A22" s="9"/>
      <c r="B22" s="6"/>
      <c r="C22" s="6"/>
      <c r="D22" s="6"/>
      <c r="E22" s="11" t="s">
        <v>41</v>
      </c>
      <c r="G22" s="11" t="s">
        <v>41</v>
      </c>
      <c r="H22" s="11" t="s">
        <v>41</v>
      </c>
      <c r="I22" s="11" t="s">
        <v>42</v>
      </c>
      <c r="J22" s="11" t="s">
        <v>42</v>
      </c>
      <c r="K22" s="11" t="s">
        <v>42</v>
      </c>
      <c r="Z22" s="6"/>
    </row>
    <row r="23" spans="1:27" x14ac:dyDescent="0.25">
      <c r="A23" s="9" t="s">
        <v>43</v>
      </c>
      <c r="B23" s="6"/>
      <c r="C23" s="6">
        <v>1164000</v>
      </c>
      <c r="D23" s="6"/>
      <c r="E23" s="6"/>
      <c r="G23" s="6"/>
      <c r="H23" s="6"/>
      <c r="I23" s="6"/>
      <c r="J23" s="6"/>
      <c r="K23" s="6"/>
      <c r="Z23" s="6"/>
    </row>
    <row r="24" spans="1:27" x14ac:dyDescent="0.25">
      <c r="A24" s="9" t="s">
        <v>44</v>
      </c>
      <c r="B24" s="6"/>
      <c r="C24" s="6">
        <v>723700</v>
      </c>
      <c r="D24" s="6"/>
      <c r="E24" s="6"/>
      <c r="G24" s="6"/>
      <c r="H24" s="6"/>
      <c r="I24" s="6"/>
      <c r="J24" s="6"/>
      <c r="K24" s="6"/>
      <c r="Z24" s="6"/>
    </row>
    <row r="25" spans="1:27" x14ac:dyDescent="0.25">
      <c r="A25" s="9" t="s">
        <v>45</v>
      </c>
      <c r="B25" s="6"/>
      <c r="C25" s="6">
        <f>(E25-G25)/3.2</f>
        <v>38542.1875</v>
      </c>
      <c r="D25" s="6"/>
      <c r="E25" s="6">
        <v>500000</v>
      </c>
      <c r="G25" s="6">
        <v>376665</v>
      </c>
      <c r="H25">
        <v>3.2</v>
      </c>
      <c r="I25" s="6"/>
      <c r="J25" s="6"/>
      <c r="K25" s="6"/>
    </row>
    <row r="26" spans="1:27" x14ac:dyDescent="0.25">
      <c r="A26" s="9" t="s">
        <v>46</v>
      </c>
      <c r="B26" s="6"/>
      <c r="C26" s="6">
        <f>(E26-G26)+(E27-G27)/2.4</f>
        <v>36030.166666666672</v>
      </c>
      <c r="D26" s="6"/>
      <c r="E26" s="6">
        <v>170000</v>
      </c>
      <c r="F26" t="s">
        <v>50</v>
      </c>
      <c r="G26" s="6">
        <v>143284</v>
      </c>
      <c r="H26">
        <v>2.4</v>
      </c>
      <c r="I26" s="6"/>
      <c r="J26" s="6"/>
      <c r="K26" s="6"/>
    </row>
    <row r="27" spans="1:27" x14ac:dyDescent="0.25">
      <c r="A27" s="9"/>
      <c r="B27" s="6"/>
      <c r="C27" s="6"/>
      <c r="D27" s="6"/>
      <c r="E27" s="6">
        <v>170000</v>
      </c>
      <c r="F27" t="s">
        <v>51</v>
      </c>
      <c r="G27" s="6">
        <v>147646</v>
      </c>
      <c r="H27">
        <v>2.4</v>
      </c>
      <c r="I27" s="6"/>
      <c r="J27" s="6"/>
      <c r="K27" s="6"/>
    </row>
    <row r="28" spans="1:27" x14ac:dyDescent="0.25">
      <c r="A28" s="9" t="s">
        <v>47</v>
      </c>
      <c r="B28" s="6"/>
      <c r="C28" s="6">
        <f>(I28-J28)/K28</f>
        <v>0</v>
      </c>
      <c r="D28" s="6"/>
      <c r="E28" s="6"/>
      <c r="G28" s="6"/>
      <c r="H28" s="6"/>
      <c r="I28" s="6">
        <v>250000</v>
      </c>
      <c r="J28" s="6">
        <v>250000</v>
      </c>
      <c r="K28" s="12">
        <v>5.8</v>
      </c>
      <c r="Z28" s="6"/>
    </row>
    <row r="29" spans="1:27" x14ac:dyDescent="0.25">
      <c r="A29" s="9" t="s">
        <v>48</v>
      </c>
      <c r="B29" s="13"/>
      <c r="C29" s="6">
        <f>SUM(C24:C28)</f>
        <v>798272.35416666663</v>
      </c>
      <c r="D29" s="6"/>
      <c r="E29" s="6"/>
      <c r="F29" s="6"/>
      <c r="G29" s="6"/>
      <c r="H29" s="6"/>
      <c r="I29" s="6"/>
      <c r="J29" s="6"/>
      <c r="Z29" s="6"/>
    </row>
    <row r="30" spans="1:27" x14ac:dyDescent="0.25">
      <c r="A30" s="9" t="s">
        <v>49</v>
      </c>
      <c r="C30" s="14">
        <f>-(C29-C23)/C23*100</f>
        <v>31.419900844788089</v>
      </c>
      <c r="D30" s="6"/>
      <c r="E30" s="6"/>
      <c r="F30" s="6"/>
      <c r="G30" s="6"/>
      <c r="H30" s="6"/>
      <c r="I30" s="6"/>
      <c r="J30" s="6"/>
      <c r="Z30" s="6"/>
    </row>
    <row r="31" spans="1:27" x14ac:dyDescent="0.25">
      <c r="Z31" s="6"/>
    </row>
    <row r="32" spans="1:27" x14ac:dyDescent="0.25">
      <c r="A32" s="9" t="s">
        <v>12</v>
      </c>
      <c r="C32" s="2">
        <f>C29</f>
        <v>798272.35416666663</v>
      </c>
      <c r="Z32" s="6"/>
    </row>
    <row r="33" spans="1:26" x14ac:dyDescent="0.25">
      <c r="A33" s="9" t="s">
        <v>13</v>
      </c>
      <c r="C33" s="2">
        <v>150000</v>
      </c>
      <c r="Z33" s="6"/>
    </row>
    <row r="34" spans="1:26" x14ac:dyDescent="0.25">
      <c r="A34" s="9" t="s">
        <v>14</v>
      </c>
      <c r="C34" s="2">
        <f>C32-C33</f>
        <v>648272.35416666663</v>
      </c>
    </row>
    <row r="35" spans="1:26" x14ac:dyDescent="0.25">
      <c r="A35" s="9" t="s">
        <v>16</v>
      </c>
      <c r="C35" s="2">
        <v>8</v>
      </c>
    </row>
    <row r="36" spans="1:26" x14ac:dyDescent="0.25">
      <c r="A36" s="9" t="s">
        <v>15</v>
      </c>
      <c r="C36" s="2">
        <f>C34/C35</f>
        <v>81034.044270833328</v>
      </c>
    </row>
  </sheetData>
  <sheetProtection password="E8CB" sheet="1" objects="1" scenarios="1"/>
  <mergeCells count="8">
    <mergeCell ref="A2:E2"/>
    <mergeCell ref="R2:U2"/>
    <mergeCell ref="W2:AA2"/>
    <mergeCell ref="M3:P3"/>
    <mergeCell ref="R3:U3"/>
    <mergeCell ref="W3:AA3"/>
    <mergeCell ref="G2:K2"/>
    <mergeCell ref="M2:P2"/>
  </mergeCells>
  <pageMargins left="0.25" right="0.25" top="0.75" bottom="0.75" header="0.3" footer="0.3"/>
  <pageSetup scale="85" orientation="landscape" r:id="rId1"/>
  <ignoredErrors>
    <ignoredError sqref="G6:AA16 C16:E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2013</vt:lpstr>
      <vt:lpstr>Sheet2</vt:lpstr>
      <vt:lpstr>Sheet3</vt:lpstr>
      <vt:lpstr>'2013'!Print_Area</vt:lpstr>
    </vt:vector>
  </TitlesOfParts>
  <Company>Lakeshore Technical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Bradley T Eggold</cp:lastModifiedBy>
  <cp:lastPrinted>2012-12-07T14:49:59Z</cp:lastPrinted>
  <dcterms:created xsi:type="dcterms:W3CDTF">2012-12-06T19:17:50Z</dcterms:created>
  <dcterms:modified xsi:type="dcterms:W3CDTF">2013-04-24T12:46:56Z</dcterms:modified>
</cp:coreProperties>
</file>